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workbookProtection lockStructure="1"/>
  <bookViews>
    <workbookView xWindow="14060" yWindow="3160" windowWidth="32620" windowHeight="21700" tabRatio="500"/>
  </bookViews>
  <sheets>
    <sheet name="Interface" sheetId="1" r:id="rId1"/>
    <sheet name="Constants" sheetId="2" state="hidden" r:id="rId2"/>
    <sheet name="Calculations" sheetId="3" state="hidden" r:id="rId3"/>
    <sheet name="Units" sheetId="4" state="hidden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6" i="1" l="1"/>
  <c r="F23" i="1"/>
  <c r="G16" i="1"/>
  <c r="F16" i="1"/>
  <c r="F15" i="1"/>
  <c r="D2" i="3"/>
  <c r="D1" i="3"/>
  <c r="F14" i="1"/>
  <c r="D5" i="3"/>
  <c r="C22" i="4"/>
  <c r="C21" i="4"/>
  <c r="F30" i="1"/>
  <c r="D3" i="3"/>
  <c r="D4" i="3"/>
  <c r="F22" i="1"/>
  <c r="F24" i="1"/>
  <c r="D6" i="3"/>
  <c r="D7" i="3"/>
  <c r="F34" i="1"/>
  <c r="F29" i="1"/>
  <c r="F27" i="1"/>
  <c r="F21" i="1"/>
  <c r="F21" i="3"/>
  <c r="F28" i="1"/>
  <c r="D8" i="3"/>
  <c r="D9" i="3"/>
  <c r="D11" i="3"/>
  <c r="D12" i="3"/>
  <c r="D14" i="3"/>
  <c r="D16" i="3"/>
  <c r="D18" i="3"/>
  <c r="F33" i="1"/>
  <c r="D21" i="3"/>
  <c r="D13" i="3"/>
  <c r="C4" i="2"/>
  <c r="C2" i="2"/>
</calcChain>
</file>

<file path=xl/sharedStrings.xml><?xml version="1.0" encoding="utf-8"?>
<sst xmlns="http://schemas.openxmlformats.org/spreadsheetml/2006/main" count="119" uniqueCount="84">
  <si>
    <t>L/m2/day</t>
  </si>
  <si>
    <t>Size of plot</t>
  </si>
  <si>
    <t>mm</t>
  </si>
  <si>
    <t>Daily irrigation requirement</t>
  </si>
  <si>
    <t>Total irrigation requirement</t>
  </si>
  <si>
    <t>L/hr</t>
  </si>
  <si>
    <t>L/day</t>
  </si>
  <si>
    <t>mm/day</t>
  </si>
  <si>
    <t>m2</t>
  </si>
  <si>
    <t>Desired pumping hours</t>
  </si>
  <si>
    <t>hrs</t>
  </si>
  <si>
    <t>Volumetric flow rate</t>
  </si>
  <si>
    <t>m3/hr</t>
  </si>
  <si>
    <t>Effective rainfall</t>
  </si>
  <si>
    <t>mm/month</t>
  </si>
  <si>
    <t>Water density</t>
  </si>
  <si>
    <t>Viscosity</t>
  </si>
  <si>
    <t>Pa.s</t>
  </si>
  <si>
    <t>Gravity</t>
  </si>
  <si>
    <t>m/s^2</t>
  </si>
  <si>
    <t>kg/m^3</t>
  </si>
  <si>
    <t>Atmospheric Pressure</t>
  </si>
  <si>
    <t>Pa</t>
  </si>
  <si>
    <t>Roughness</t>
  </si>
  <si>
    <t>KE_coeff_laminar</t>
  </si>
  <si>
    <t>KE_coeff_turbulent</t>
  </si>
  <si>
    <t>h_turbine</t>
  </si>
  <si>
    <t>K</t>
  </si>
  <si>
    <t>ground level</t>
  </si>
  <si>
    <t>m</t>
  </si>
  <si>
    <t>Depth of water</t>
  </si>
  <si>
    <t>Pipe cross-sectional area</t>
  </si>
  <si>
    <t>Pipe diameter</t>
  </si>
  <si>
    <t>m^2</t>
  </si>
  <si>
    <t>Flow velocity</t>
  </si>
  <si>
    <t>m/s</t>
  </si>
  <si>
    <t>Reynolds number</t>
  </si>
  <si>
    <t>Friction factor</t>
  </si>
  <si>
    <t>Friction loss</t>
  </si>
  <si>
    <t>KE</t>
  </si>
  <si>
    <t>Total length of pipe</t>
  </si>
  <si>
    <t>Total Dynamic Head (including friction)</t>
  </si>
  <si>
    <t>base hp required</t>
  </si>
  <si>
    <t>Flow Rate</t>
  </si>
  <si>
    <t>Recharge rate</t>
  </si>
  <si>
    <t>Diameter of well</t>
  </si>
  <si>
    <t>Volume of water in well</t>
  </si>
  <si>
    <t>m^3</t>
  </si>
  <si>
    <t>m/hr</t>
  </si>
  <si>
    <t>Volumetric recharge rate</t>
  </si>
  <si>
    <t>m^3/hr</t>
  </si>
  <si>
    <t>%</t>
  </si>
  <si>
    <t>Horizontal pipe distance</t>
  </si>
  <si>
    <t>Water Source Values</t>
  </si>
  <si>
    <t>Crop Values</t>
  </si>
  <si>
    <t>acres</t>
  </si>
  <si>
    <t>km^2</t>
  </si>
  <si>
    <t>Conversion to:</t>
  </si>
  <si>
    <t>cm</t>
  </si>
  <si>
    <t>inches</t>
  </si>
  <si>
    <t>Calculated Values</t>
  </si>
  <si>
    <t>Units</t>
  </si>
  <si>
    <t>Irrigation System Values</t>
  </si>
  <si>
    <t>Pump Efficicency (Typically 50-85%)</t>
  </si>
  <si>
    <t>hp</t>
  </si>
  <si>
    <t>ft/hr</t>
  </si>
  <si>
    <t>ft</t>
  </si>
  <si>
    <t>Average rainfall (during required season)</t>
  </si>
  <si>
    <t>m/min</t>
  </si>
  <si>
    <t>ft/min</t>
  </si>
  <si>
    <t>It was written as part of the MIT CITE Solar Water Pump Evaluation (cite.mit.edu) in collaboration with Technology Exchange Lab (www.techxlab.org).</t>
  </si>
  <si>
    <t>The full report can be found at: http://cite.mit.edu/reports/solar-powered-water-pumps</t>
  </si>
  <si>
    <t>Height from water surface to pumped water end point</t>
  </si>
  <si>
    <t>Water Pump Sizing Tool</t>
  </si>
  <si>
    <r>
      <t xml:space="preserve">Any boxes in </t>
    </r>
    <r>
      <rPr>
        <i/>
        <sz val="12"/>
        <color theme="6" tint="-0.249977111117893"/>
        <rFont val="Calibri"/>
        <scheme val="minor"/>
      </rPr>
      <t>Green</t>
    </r>
    <r>
      <rPr>
        <i/>
        <sz val="12"/>
        <color theme="1"/>
        <rFont val="Calibri"/>
        <scheme val="minor"/>
      </rPr>
      <t xml:space="preserve"> can be edited to fit your system. All other cells can be edited by "unprotecting" the worksheets (no password required)</t>
    </r>
  </si>
  <si>
    <t>This tool has been created to estimate a minimum requirement for the size of water pump (hp) you may need for your irrigation system without over pumping your water source.</t>
  </si>
  <si>
    <t>*Crop Water requirement (based on crop types and your geographical location)</t>
  </si>
  <si>
    <t>*Total Water Requirement (for entire plot)</t>
  </si>
  <si>
    <t>Minimum required Horse-Power (HP)</t>
  </si>
  <si>
    <t>Water volume change per pumping session**</t>
  </si>
  <si>
    <t xml:space="preserve">**Note: if this value is negative you are over pumping your water source. </t>
  </si>
  <si>
    <t>*Your water requirement can be entered either as a Total Water Requirement [L/day] or (if known for your crops and region) as the Crop Water requirement [L/m2/day]. When using Total Water Requirement Size of Plot and Average rainfall will not be used in the calculations.</t>
  </si>
  <si>
    <t>Value</t>
  </si>
  <si>
    <t>This work is licensed under the Creative Commons Attribution-ShareAlike 4.0 International License. To view a copy of this license visit: http://creativecommons.org/licenses/by-sa/4.0/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</si>
</sst>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sz val="14"/>
      <name val="Calibri"/>
      <scheme val="minor"/>
    </font>
    <font>
      <i/>
      <sz val="12"/>
      <color theme="0" tint="-0.499984740745262"/>
      <name val="Calibri"/>
      <scheme val="minor"/>
    </font>
    <font>
      <b/>
      <sz val="14"/>
      <name val="Calibri"/>
      <scheme val="minor"/>
    </font>
    <font>
      <i/>
      <sz val="12"/>
      <color theme="1"/>
      <name val="Calibri"/>
      <scheme val="minor"/>
    </font>
    <font>
      <sz val="16"/>
      <color theme="1"/>
      <name val="Calibri"/>
      <scheme val="minor"/>
    </font>
    <font>
      <i/>
      <sz val="12"/>
      <color theme="6" tint="-0.249977111117893"/>
      <name val="Calibri"/>
      <scheme val="minor"/>
    </font>
    <font>
      <i/>
      <sz val="14"/>
      <name val="Calibri"/>
      <scheme val="minor"/>
    </font>
    <font>
      <sz val="12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9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Border="1"/>
    <xf numFmtId="0" fontId="5" fillId="0" borderId="0" xfId="0" applyFont="1" applyFill="1" applyBorder="1"/>
    <xf numFmtId="0" fontId="1" fillId="0" borderId="4" xfId="0" applyNumberFormat="1" applyFont="1" applyBorder="1"/>
    <xf numFmtId="0" fontId="1" fillId="0" borderId="5" xfId="0" applyFont="1" applyBorder="1"/>
    <xf numFmtId="0" fontId="7" fillId="0" borderId="3" xfId="0" applyFont="1" applyBorder="1" applyProtection="1"/>
    <xf numFmtId="0" fontId="7" fillId="0" borderId="5" xfId="0" applyFont="1" applyBorder="1" applyProtection="1"/>
    <xf numFmtId="0" fontId="7" fillId="0" borderId="8" xfId="0" applyFont="1" applyBorder="1" applyProtection="1"/>
    <xf numFmtId="0" fontId="7" fillId="0" borderId="5" xfId="0" applyFont="1" applyFill="1" applyBorder="1" applyProtection="1"/>
    <xf numFmtId="0" fontId="7" fillId="0" borderId="3" xfId="0" applyFont="1" applyFill="1" applyBorder="1" applyProtection="1"/>
    <xf numFmtId="0" fontId="7" fillId="0" borderId="4" xfId="0" applyFont="1" applyBorder="1" applyProtection="1"/>
    <xf numFmtId="0" fontId="0" fillId="0" borderId="0" xfId="0" applyNumberFormat="1" applyProtection="1"/>
    <xf numFmtId="0" fontId="0" fillId="0" borderId="0" xfId="0" applyProtection="1"/>
    <xf numFmtId="0" fontId="6" fillId="0" borderId="0" xfId="0" applyFont="1" applyProtection="1"/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0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/>
    </xf>
    <xf numFmtId="0" fontId="0" fillId="0" borderId="7" xfId="0" applyFont="1" applyFill="1" applyBorder="1" applyAlignment="1" applyProtection="1">
      <alignment horizontal="center"/>
    </xf>
    <xf numFmtId="0" fontId="5" fillId="0" borderId="0" xfId="0" applyNumberFormat="1" applyFont="1" applyFill="1" applyBorder="1"/>
    <xf numFmtId="0" fontId="5" fillId="0" borderId="0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Fill="1" applyBorder="1" applyAlignment="1" applyProtection="1">
      <alignment horizontal="center"/>
    </xf>
    <xf numFmtId="0" fontId="7" fillId="0" borderId="8" xfId="0" applyFont="1" applyBorder="1" applyAlignment="1" applyProtection="1">
      <alignment horizontal="left" vertical="center"/>
    </xf>
    <xf numFmtId="0" fontId="6" fillId="3" borderId="0" xfId="0" applyFont="1" applyFill="1" applyProtection="1"/>
    <xf numFmtId="0" fontId="0" fillId="3" borderId="0" xfId="0" applyNumberFormat="1" applyFill="1" applyProtection="1"/>
    <xf numFmtId="0" fontId="0" fillId="3" borderId="0" xfId="0" applyFill="1" applyProtection="1"/>
    <xf numFmtId="0" fontId="7" fillId="3" borderId="0" xfId="0" applyNumberFormat="1" applyFont="1" applyFill="1" applyBorder="1" applyProtection="1"/>
    <xf numFmtId="0" fontId="7" fillId="3" borderId="0" xfId="0" applyFont="1" applyFill="1" applyBorder="1" applyProtection="1"/>
    <xf numFmtId="0" fontId="7" fillId="3" borderId="0" xfId="0" applyNumberFormat="1" applyFont="1" applyFill="1" applyProtection="1"/>
    <xf numFmtId="0" fontId="7" fillId="3" borderId="0" xfId="0" applyFont="1" applyFill="1" applyProtection="1"/>
    <xf numFmtId="0" fontId="0" fillId="3" borderId="0" xfId="0" applyFill="1" applyAlignment="1" applyProtection="1">
      <alignment horizontal="center"/>
    </xf>
    <xf numFmtId="0" fontId="10" fillId="4" borderId="0" xfId="0" applyFont="1" applyFill="1" applyProtection="1"/>
    <xf numFmtId="0" fontId="0" fillId="4" borderId="0" xfId="0" applyFill="1" applyAlignment="1" applyProtection="1">
      <alignment horizontal="center"/>
    </xf>
    <xf numFmtId="0" fontId="0" fillId="4" borderId="0" xfId="0" applyFill="1" applyProtection="1"/>
    <xf numFmtId="0" fontId="0" fillId="4" borderId="0" xfId="0" applyNumberFormat="1" applyFill="1" applyProtection="1"/>
    <xf numFmtId="0" fontId="2" fillId="4" borderId="9" xfId="0" applyFont="1" applyFill="1" applyBorder="1" applyProtection="1"/>
    <xf numFmtId="0" fontId="0" fillId="4" borderId="10" xfId="0" applyFill="1" applyBorder="1" applyAlignment="1" applyProtection="1">
      <alignment horizontal="center"/>
    </xf>
    <xf numFmtId="0" fontId="0" fillId="4" borderId="11" xfId="0" applyFill="1" applyBorder="1" applyAlignment="1" applyProtection="1">
      <alignment horizontal="center"/>
    </xf>
    <xf numFmtId="0" fontId="0" fillId="0" borderId="1" xfId="0" applyFont="1" applyBorder="1" applyProtection="1"/>
    <xf numFmtId="0" fontId="0" fillId="3" borderId="0" xfId="0" applyFill="1" applyBorder="1" applyProtection="1"/>
    <xf numFmtId="0" fontId="0" fillId="0" borderId="4" xfId="0" applyBorder="1" applyAlignment="1" applyProtection="1">
      <alignment wrapText="1"/>
    </xf>
    <xf numFmtId="0" fontId="0" fillId="3" borderId="0" xfId="0" applyFill="1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1" xfId="0" applyBorder="1" applyProtection="1"/>
    <xf numFmtId="0" fontId="0" fillId="0" borderId="4" xfId="0" applyBorder="1" applyProtection="1"/>
    <xf numFmtId="0" fontId="0" fillId="0" borderId="6" xfId="0" applyBorder="1" applyProtection="1"/>
    <xf numFmtId="0" fontId="0" fillId="3" borderId="2" xfId="0" applyFill="1" applyBorder="1" applyProtection="1"/>
    <xf numFmtId="0" fontId="0" fillId="3" borderId="0" xfId="0" applyFill="1" applyBorder="1" applyAlignment="1" applyProtection="1">
      <alignment horizontal="center"/>
    </xf>
    <xf numFmtId="0" fontId="5" fillId="3" borderId="0" xfId="0" applyFont="1" applyFill="1" applyProtection="1"/>
    <xf numFmtId="0" fontId="5" fillId="0" borderId="4" xfId="0" applyFont="1" applyFill="1" applyBorder="1" applyProtection="1"/>
    <xf numFmtId="0" fontId="5" fillId="0" borderId="0" xfId="0" applyFont="1" applyProtection="1"/>
    <xf numFmtId="0" fontId="0" fillId="0" borderId="6" xfId="0" applyFont="1" applyBorder="1" applyProtection="1"/>
    <xf numFmtId="0" fontId="8" fillId="4" borderId="9" xfId="0" applyFont="1" applyFill="1" applyBorder="1" applyProtection="1"/>
    <xf numFmtId="0" fontId="8" fillId="4" borderId="10" xfId="0" applyFont="1" applyFill="1" applyBorder="1" applyAlignment="1" applyProtection="1">
      <alignment horizontal="center"/>
    </xf>
    <xf numFmtId="0" fontId="12" fillId="4" borderId="9" xfId="0" applyFont="1" applyFill="1" applyBorder="1" applyProtection="1"/>
    <xf numFmtId="0" fontId="12" fillId="4" borderId="10" xfId="0" applyFont="1" applyFill="1" applyBorder="1" applyAlignment="1" applyProtection="1">
      <alignment horizontal="center"/>
    </xf>
    <xf numFmtId="0" fontId="9" fillId="3" borderId="0" xfId="0" applyFont="1" applyFill="1" applyProtection="1"/>
    <xf numFmtId="0" fontId="0" fillId="0" borderId="0" xfId="0" applyAlignment="1" applyProtection="1">
      <alignment horizont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8" fillId="0" borderId="11" xfId="0" applyFont="1" applyFill="1" applyBorder="1" applyProtection="1"/>
    <xf numFmtId="0" fontId="12" fillId="0" borderId="11" xfId="0" applyFont="1" applyFill="1" applyBorder="1" applyProtection="1"/>
    <xf numFmtId="0" fontId="8" fillId="3" borderId="0" xfId="0" applyFont="1" applyFill="1" applyBorder="1" applyProtection="1"/>
    <xf numFmtId="0" fontId="12" fillId="3" borderId="0" xfId="0" applyFont="1" applyFill="1" applyBorder="1" applyProtection="1"/>
    <xf numFmtId="0" fontId="8" fillId="4" borderId="11" xfId="0" applyFont="1" applyFill="1" applyBorder="1" applyAlignment="1" applyProtection="1">
      <alignment horizontal="center"/>
    </xf>
    <xf numFmtId="0" fontId="12" fillId="4" borderId="11" xfId="0" applyFont="1" applyFill="1" applyBorder="1" applyAlignment="1" applyProtection="1">
      <alignment horizontal="center"/>
    </xf>
    <xf numFmtId="0" fontId="8" fillId="0" borderId="9" xfId="0" applyNumberFormat="1" applyFont="1" applyFill="1" applyBorder="1" applyProtection="1"/>
    <xf numFmtId="3" fontId="0" fillId="2" borderId="3" xfId="0" applyNumberFormat="1" applyFill="1" applyBorder="1" applyAlignment="1" applyProtection="1">
      <alignment horizontal="center"/>
      <protection locked="0"/>
    </xf>
    <xf numFmtId="3" fontId="0" fillId="2" borderId="5" xfId="0" applyNumberFormat="1" applyFill="1" applyBorder="1" applyAlignment="1" applyProtection="1">
      <alignment horizontal="center"/>
      <protection locked="0"/>
    </xf>
    <xf numFmtId="3" fontId="5" fillId="2" borderId="5" xfId="0" applyNumberFormat="1" applyFont="1" applyFill="1" applyBorder="1" applyAlignment="1" applyProtection="1">
      <alignment horizontal="center"/>
      <protection locked="0"/>
    </xf>
    <xf numFmtId="3" fontId="0" fillId="2" borderId="8" xfId="0" applyNumberFormat="1" applyFont="1" applyFill="1" applyBorder="1" applyAlignment="1" applyProtection="1">
      <alignment horizontal="center"/>
      <protection locked="0"/>
    </xf>
    <xf numFmtId="3" fontId="0" fillId="2" borderId="8" xfId="0" applyNumberFormat="1" applyFill="1" applyBorder="1" applyAlignment="1" applyProtection="1">
      <alignment horizontal="center"/>
      <protection locked="0"/>
    </xf>
    <xf numFmtId="3" fontId="0" fillId="2" borderId="3" xfId="0" applyNumberFormat="1" applyFont="1" applyFill="1" applyBorder="1" applyAlignment="1" applyProtection="1">
      <alignment horizontal="center"/>
      <protection locked="0"/>
    </xf>
    <xf numFmtId="3" fontId="0" fillId="2" borderId="8" xfId="0" applyNumberFormat="1" applyFill="1" applyBorder="1" applyAlignment="1" applyProtection="1">
      <alignment horizontal="center" vertical="center"/>
      <protection locked="0"/>
    </xf>
    <xf numFmtId="3" fontId="7" fillId="0" borderId="6" xfId="0" applyNumberFormat="1" applyFont="1" applyBorder="1" applyAlignment="1" applyProtection="1">
      <alignment horizontal="right" vertical="center"/>
    </xf>
    <xf numFmtId="3" fontId="7" fillId="0" borderId="1" xfId="0" applyNumberFormat="1" applyFont="1" applyBorder="1" applyProtection="1"/>
    <xf numFmtId="3" fontId="7" fillId="0" borderId="4" xfId="0" applyNumberFormat="1" applyFont="1" applyBorder="1" applyProtection="1"/>
    <xf numFmtId="3" fontId="7" fillId="0" borderId="6" xfId="0" applyNumberFormat="1" applyFont="1" applyBorder="1" applyProtection="1"/>
    <xf numFmtId="3" fontId="12" fillId="0" borderId="9" xfId="0" applyNumberFormat="1" applyFont="1" applyFill="1" applyBorder="1" applyProtection="1"/>
    <xf numFmtId="0" fontId="0" fillId="0" borderId="7" xfId="0" applyFill="1" applyBorder="1" applyAlignment="1" applyProtection="1">
      <alignment horizontal="center" vertical="center"/>
    </xf>
    <xf numFmtId="0" fontId="0" fillId="4" borderId="0" xfId="0" applyFill="1" applyAlignment="1" applyProtection="1">
      <alignment horizontal="left"/>
    </xf>
    <xf numFmtId="0" fontId="9" fillId="3" borderId="0" xfId="0" applyFont="1" applyFill="1" applyAlignment="1" applyProtection="1">
      <alignment horizontal="left" wrapText="1"/>
    </xf>
    <xf numFmtId="0" fontId="0" fillId="4" borderId="0" xfId="0" applyFill="1" applyAlignment="1" applyProtection="1">
      <alignment horizontal="left" wrapText="1"/>
    </xf>
    <xf numFmtId="0" fontId="0" fillId="4" borderId="0" xfId="0" applyFill="1" applyAlignment="1" applyProtection="1">
      <alignment horizontal="left"/>
    </xf>
    <xf numFmtId="0" fontId="7" fillId="4" borderId="9" xfId="0" applyNumberFormat="1" applyFont="1" applyFill="1" applyBorder="1" applyAlignment="1" applyProtection="1">
      <alignment horizontal="center"/>
    </xf>
    <xf numFmtId="0" fontId="7" fillId="4" borderId="11" xfId="0" applyNumberFormat="1" applyFont="1" applyFill="1" applyBorder="1" applyAlignment="1" applyProtection="1">
      <alignment horizontal="center"/>
    </xf>
    <xf numFmtId="0" fontId="9" fillId="4" borderId="0" xfId="0" applyFont="1" applyFill="1" applyAlignment="1" applyProtection="1">
      <alignment horizontal="left" wrapText="1"/>
    </xf>
    <xf numFmtId="0" fontId="0" fillId="3" borderId="0" xfId="0" applyFont="1" applyFill="1" applyBorder="1" applyAlignment="1" applyProtection="1">
      <alignment vertical="center"/>
    </xf>
    <xf numFmtId="0" fontId="0" fillId="3" borderId="0" xfId="0" applyFont="1" applyFill="1" applyBorder="1" applyAlignment="1" applyProtection="1">
      <alignment vertical="top"/>
    </xf>
    <xf numFmtId="0" fontId="0" fillId="3" borderId="0" xfId="0" applyFont="1" applyFill="1" applyBorder="1" applyProtection="1"/>
    <xf numFmtId="0" fontId="0" fillId="3" borderId="0" xfId="0" applyFont="1" applyFill="1"/>
    <xf numFmtId="0" fontId="0" fillId="4" borderId="0" xfId="0" applyFont="1" applyFill="1" applyBorder="1" applyAlignment="1" applyProtection="1">
      <alignment vertical="top"/>
    </xf>
    <xf numFmtId="0" fontId="0" fillId="4" borderId="0" xfId="0" applyFont="1" applyFill="1" applyBorder="1" applyProtection="1"/>
    <xf numFmtId="0" fontId="0" fillId="3" borderId="0" xfId="0" applyFont="1" applyFill="1" applyAlignment="1">
      <alignment vertical="center"/>
    </xf>
    <xf numFmtId="0" fontId="13" fillId="5" borderId="0" xfId="0" applyFont="1" applyFill="1" applyBorder="1" applyAlignment="1">
      <alignment horizontal="left" vertical="center" wrapText="1"/>
    </xf>
  </cellXfs>
  <cellStyles count="5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406400</xdr:colOff>
      <xdr:row>37</xdr:row>
      <xdr:rowOff>88900</xdr:rowOff>
    </xdr:from>
    <xdr:to>
      <xdr:col>6</xdr:col>
      <xdr:colOff>740743</xdr:colOff>
      <xdr:row>37</xdr:row>
      <xdr:rowOff>596900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19800" y="8420100"/>
          <a:ext cx="1451943" cy="508000"/>
        </a:xfrm>
        <a:prstGeom prst="rect">
          <a:avLst/>
        </a:prstGeom>
      </xdr:spPr>
    </xdr:pic>
    <xdr:clientData/>
  </xdr:twoCellAnchor>
  <xdr:twoCellAnchor editAs="oneCell">
    <xdr:from>
      <xdr:col>5</xdr:col>
      <xdr:colOff>358496</xdr:colOff>
      <xdr:row>6</xdr:row>
      <xdr:rowOff>13312</xdr:rowOff>
    </xdr:from>
    <xdr:to>
      <xdr:col>6</xdr:col>
      <xdr:colOff>800100</xdr:colOff>
      <xdr:row>8</xdr:row>
      <xdr:rowOff>126999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71896" y="1600812"/>
          <a:ext cx="1559204" cy="49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117078</xdr:colOff>
      <xdr:row>6</xdr:row>
      <xdr:rowOff>50800</xdr:rowOff>
    </xdr:from>
    <xdr:to>
      <xdr:col>1</xdr:col>
      <xdr:colOff>3048000</xdr:colOff>
      <xdr:row>8</xdr:row>
      <xdr:rowOff>114300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8078" y="1638300"/>
          <a:ext cx="2930922" cy="444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D27" sqref="D27"/>
    </sheetView>
  </sheetViews>
  <sheetFormatPr baseColWidth="10" defaultColWidth="0" defaultRowHeight="15" zeroHeight="1" x14ac:dyDescent="0"/>
  <cols>
    <col min="1" max="1" width="5" style="29" customWidth="1"/>
    <col min="2" max="2" width="47" style="14" customWidth="1"/>
    <col min="3" max="3" width="10.83203125" style="62" customWidth="1"/>
    <col min="4" max="4" width="7.83203125" style="62" customWidth="1"/>
    <col min="5" max="5" width="3" style="14" customWidth="1"/>
    <col min="6" max="6" width="14.6640625" style="13" customWidth="1"/>
    <col min="7" max="7" width="11.33203125" style="14" customWidth="1"/>
    <col min="8" max="8" width="5" style="14" customWidth="1"/>
    <col min="9" max="9" width="10.83203125" style="14" hidden="1" customWidth="1"/>
    <col min="10" max="10" width="10.83203125" style="29" hidden="1" customWidth="1"/>
    <col min="11" max="16384" width="10.83203125" style="14" hidden="1"/>
  </cols>
  <sheetData>
    <row r="1" spans="1:10" s="29" customFormat="1">
      <c r="C1" s="34"/>
      <c r="D1" s="34"/>
      <c r="F1" s="28"/>
    </row>
    <row r="2" spans="1:10" s="29" customFormat="1">
      <c r="C2" s="34"/>
      <c r="D2" s="34"/>
      <c r="F2" s="28"/>
    </row>
    <row r="3" spans="1:10" ht="20">
      <c r="B3" s="35" t="s">
        <v>73</v>
      </c>
      <c r="C3" s="36"/>
      <c r="D3" s="36"/>
      <c r="E3" s="37"/>
      <c r="F3" s="38"/>
      <c r="G3" s="37"/>
      <c r="H3" s="29"/>
      <c r="I3" s="29"/>
    </row>
    <row r="4" spans="1:10" ht="30" customHeight="1">
      <c r="B4" s="86" t="s">
        <v>75</v>
      </c>
      <c r="C4" s="86"/>
      <c r="D4" s="86"/>
      <c r="E4" s="86"/>
      <c r="F4" s="86"/>
      <c r="G4" s="86"/>
      <c r="H4" s="29"/>
      <c r="I4" s="29"/>
    </row>
    <row r="5" spans="1:10" ht="30" customHeight="1">
      <c r="B5" s="86" t="s">
        <v>70</v>
      </c>
      <c r="C5" s="86"/>
      <c r="D5" s="86"/>
      <c r="E5" s="86"/>
      <c r="F5" s="86"/>
      <c r="G5" s="86"/>
      <c r="H5" s="29"/>
      <c r="I5" s="29"/>
    </row>
    <row r="6" spans="1:10">
      <c r="B6" s="87" t="s">
        <v>71</v>
      </c>
      <c r="C6" s="87"/>
      <c r="D6" s="87"/>
      <c r="E6" s="87"/>
      <c r="F6" s="87"/>
      <c r="G6" s="87"/>
      <c r="H6" s="29"/>
      <c r="I6" s="29"/>
    </row>
    <row r="7" spans="1:10">
      <c r="B7" s="84"/>
      <c r="C7" s="84"/>
      <c r="D7" s="84"/>
      <c r="E7" s="84"/>
      <c r="F7" s="84"/>
      <c r="G7" s="84"/>
      <c r="H7" s="29"/>
      <c r="I7" s="29"/>
    </row>
    <row r="8" spans="1:10">
      <c r="B8" s="84"/>
      <c r="C8" s="84"/>
      <c r="D8" s="84"/>
      <c r="E8" s="84"/>
      <c r="F8" s="84"/>
      <c r="G8" s="84"/>
      <c r="H8" s="29"/>
      <c r="I8" s="29"/>
    </row>
    <row r="9" spans="1:10">
      <c r="B9" s="84"/>
      <c r="C9" s="84"/>
      <c r="D9" s="84"/>
      <c r="E9" s="84"/>
      <c r="F9" s="84"/>
      <c r="G9" s="84"/>
      <c r="H9" s="29"/>
      <c r="I9" s="29"/>
    </row>
    <row r="10" spans="1:10" s="29" customFormat="1">
      <c r="C10" s="34"/>
      <c r="D10" s="34"/>
      <c r="F10" s="28"/>
    </row>
    <row r="11" spans="1:10" ht="30" customHeight="1">
      <c r="B11" s="90" t="s">
        <v>74</v>
      </c>
      <c r="C11" s="90"/>
      <c r="D11" s="90"/>
      <c r="E11" s="90"/>
      <c r="F11" s="90"/>
      <c r="G11" s="90"/>
      <c r="H11" s="29"/>
      <c r="I11" s="29"/>
    </row>
    <row r="12" spans="1:10" s="29" customFormat="1">
      <c r="C12" s="34"/>
      <c r="D12" s="34"/>
      <c r="F12" s="28"/>
    </row>
    <row r="13" spans="1:10">
      <c r="B13" s="39" t="s">
        <v>54</v>
      </c>
      <c r="C13" s="40" t="s">
        <v>61</v>
      </c>
      <c r="D13" s="41" t="s">
        <v>82</v>
      </c>
      <c r="E13" s="29"/>
      <c r="F13" s="88" t="s">
        <v>60</v>
      </c>
      <c r="G13" s="89"/>
      <c r="H13" s="29"/>
      <c r="I13" s="29"/>
    </row>
    <row r="14" spans="1:10">
      <c r="B14" s="42" t="s">
        <v>1</v>
      </c>
      <c r="C14" s="16" t="s">
        <v>55</v>
      </c>
      <c r="D14" s="76">
        <v>10</v>
      </c>
      <c r="E14" s="43"/>
      <c r="F14" s="79">
        <f>VLOOKUP(C14,Units!B3:C5,2,FALSE)*D14</f>
        <v>40468.6</v>
      </c>
      <c r="G14" s="7" t="s">
        <v>8</v>
      </c>
      <c r="H14" s="29"/>
      <c r="I14" s="29"/>
    </row>
    <row r="15" spans="1:10">
      <c r="B15" s="44" t="s">
        <v>67</v>
      </c>
      <c r="C15" s="17" t="s">
        <v>14</v>
      </c>
      <c r="D15" s="72">
        <v>15</v>
      </c>
      <c r="E15" s="43"/>
      <c r="F15" s="80">
        <f>VLOOKUP(C15,Units!B8:C9,2,FALSE)*D15</f>
        <v>15</v>
      </c>
      <c r="G15" s="8" t="s">
        <v>14</v>
      </c>
      <c r="H15" s="29"/>
      <c r="I15" s="29"/>
    </row>
    <row r="16" spans="1:10" s="47" customFormat="1" ht="30" customHeight="1">
      <c r="A16" s="45"/>
      <c r="B16" s="63" t="s">
        <v>77</v>
      </c>
      <c r="C16" s="83" t="str">
        <f>VLOOKUP(B16,Units!B24:C25,2,FALSE)</f>
        <v>L/day</v>
      </c>
      <c r="D16" s="77">
        <v>20000</v>
      </c>
      <c r="E16" s="46"/>
      <c r="F16" s="78">
        <f>D16</f>
        <v>20000</v>
      </c>
      <c r="G16" s="26" t="str">
        <f>C16</f>
        <v>L/day</v>
      </c>
      <c r="H16" s="45"/>
      <c r="I16" s="45"/>
      <c r="J16" s="45"/>
    </row>
    <row r="17" spans="1:10" s="29" customFormat="1" ht="45" customHeight="1">
      <c r="B17" s="85" t="s">
        <v>81</v>
      </c>
      <c r="C17" s="85"/>
      <c r="D17" s="85"/>
      <c r="E17" s="85"/>
      <c r="F17" s="85"/>
      <c r="G17" s="85"/>
    </row>
    <row r="18" spans="1:10" s="29" customFormat="1">
      <c r="C18" s="34"/>
      <c r="D18" s="34"/>
      <c r="F18" s="32"/>
      <c r="G18" s="33"/>
    </row>
    <row r="19" spans="1:10" s="29" customFormat="1">
      <c r="C19" s="34"/>
      <c r="D19" s="34"/>
      <c r="F19" s="32"/>
      <c r="G19" s="33"/>
    </row>
    <row r="20" spans="1:10">
      <c r="B20" s="39" t="s">
        <v>53</v>
      </c>
      <c r="C20" s="40" t="s">
        <v>61</v>
      </c>
      <c r="D20" s="41" t="s">
        <v>82</v>
      </c>
      <c r="E20" s="29"/>
      <c r="F20" s="32"/>
      <c r="G20" s="33"/>
      <c r="H20" s="29"/>
      <c r="I20" s="29"/>
    </row>
    <row r="21" spans="1:10">
      <c r="B21" s="48" t="s">
        <v>72</v>
      </c>
      <c r="C21" s="19" t="s">
        <v>29</v>
      </c>
      <c r="D21" s="71">
        <v>20</v>
      </c>
      <c r="E21" s="43"/>
      <c r="F21" s="79">
        <f>VLOOKUP(C21,Units!$B$12:$C$16,2,FALSE)*D21</f>
        <v>20</v>
      </c>
      <c r="G21" s="7" t="s">
        <v>29</v>
      </c>
      <c r="H21" s="29"/>
      <c r="I21" s="29"/>
    </row>
    <row r="22" spans="1:10">
      <c r="B22" s="49" t="s">
        <v>45</v>
      </c>
      <c r="C22" s="17" t="s">
        <v>29</v>
      </c>
      <c r="D22" s="72">
        <v>15</v>
      </c>
      <c r="E22" s="43"/>
      <c r="F22" s="80">
        <f>VLOOKUP(C22,Units!$B$12:$C$16,2,FALSE)*D22</f>
        <v>15</v>
      </c>
      <c r="G22" s="10" t="s">
        <v>29</v>
      </c>
      <c r="H22" s="29"/>
      <c r="I22" s="29"/>
    </row>
    <row r="23" spans="1:10">
      <c r="B23" s="49" t="s">
        <v>44</v>
      </c>
      <c r="C23" s="17" t="s">
        <v>48</v>
      </c>
      <c r="D23" s="72">
        <v>1</v>
      </c>
      <c r="E23" s="43"/>
      <c r="F23" s="80">
        <f>VLOOKUP(C23,Units!$B$19:$C$22,2,FALSE)*D23</f>
        <v>1</v>
      </c>
      <c r="G23" s="10" t="s">
        <v>48</v>
      </c>
      <c r="H23" s="29"/>
      <c r="I23" s="29"/>
    </row>
    <row r="24" spans="1:10" ht="15" customHeight="1">
      <c r="B24" s="50" t="s">
        <v>30</v>
      </c>
      <c r="C24" s="18" t="s">
        <v>29</v>
      </c>
      <c r="D24" s="75">
        <v>50</v>
      </c>
      <c r="E24" s="43"/>
      <c r="F24" s="81">
        <f>VLOOKUP(C24,Units!$B$12:$C$16,2,FALSE)*D24</f>
        <v>50</v>
      </c>
      <c r="G24" s="9" t="s">
        <v>29</v>
      </c>
      <c r="H24" s="29"/>
      <c r="I24" s="29"/>
    </row>
    <row r="25" spans="1:10" s="29" customFormat="1">
      <c r="B25" s="51"/>
      <c r="C25" s="34"/>
      <c r="D25" s="52"/>
      <c r="E25" s="43"/>
      <c r="F25" s="30"/>
      <c r="G25" s="31"/>
    </row>
    <row r="26" spans="1:10">
      <c r="B26" s="39" t="s">
        <v>62</v>
      </c>
      <c r="C26" s="40" t="s">
        <v>61</v>
      </c>
      <c r="D26" s="41" t="s">
        <v>82</v>
      </c>
      <c r="E26" s="43"/>
      <c r="F26" s="30"/>
      <c r="G26" s="31"/>
      <c r="H26" s="29"/>
      <c r="I26" s="29"/>
    </row>
    <row r="27" spans="1:10">
      <c r="B27" s="48" t="s">
        <v>52</v>
      </c>
      <c r="C27" s="19" t="s">
        <v>29</v>
      </c>
      <c r="D27" s="71">
        <v>20</v>
      </c>
      <c r="E27" s="43"/>
      <c r="F27" s="79">
        <f>VLOOKUP(C27,Units!$B$12:$C$16,2,FALSE)*D27</f>
        <v>20</v>
      </c>
      <c r="G27" s="11" t="s">
        <v>29</v>
      </c>
      <c r="H27" s="29"/>
      <c r="I27" s="29"/>
    </row>
    <row r="28" spans="1:10">
      <c r="B28" s="49" t="s">
        <v>32</v>
      </c>
      <c r="C28" s="17" t="s">
        <v>58</v>
      </c>
      <c r="D28" s="72">
        <v>50</v>
      </c>
      <c r="E28" s="43"/>
      <c r="F28" s="80">
        <f>VLOOKUP(C28,Units!$B$12:$C$16,2,FALSE)*D28</f>
        <v>5000</v>
      </c>
      <c r="G28" s="8" t="s">
        <v>29</v>
      </c>
      <c r="H28" s="29"/>
      <c r="I28" s="29"/>
    </row>
    <row r="29" spans="1:10" s="55" customFormat="1">
      <c r="A29" s="53"/>
      <c r="B29" s="54" t="s">
        <v>63</v>
      </c>
      <c r="C29" s="20" t="s">
        <v>51</v>
      </c>
      <c r="D29" s="73">
        <v>60</v>
      </c>
      <c r="E29" s="53"/>
      <c r="F29" s="12">
        <f>D29/100</f>
        <v>0.6</v>
      </c>
      <c r="G29" s="8" t="s">
        <v>51</v>
      </c>
      <c r="H29" s="53"/>
      <c r="I29" s="53"/>
      <c r="J29" s="53"/>
    </row>
    <row r="30" spans="1:10">
      <c r="B30" s="56" t="s">
        <v>9</v>
      </c>
      <c r="C30" s="21" t="s">
        <v>10</v>
      </c>
      <c r="D30" s="74">
        <v>2</v>
      </c>
      <c r="E30" s="43"/>
      <c r="F30" s="81">
        <f>D30</f>
        <v>2</v>
      </c>
      <c r="G30" s="9" t="s">
        <v>10</v>
      </c>
      <c r="H30" s="29"/>
      <c r="I30" s="29"/>
    </row>
    <row r="31" spans="1:10" s="29" customFormat="1">
      <c r="C31" s="34"/>
      <c r="D31" s="34"/>
      <c r="F31" s="28"/>
    </row>
    <row r="32" spans="1:10" s="29" customFormat="1">
      <c r="C32" s="34"/>
      <c r="D32" s="34"/>
      <c r="F32" s="28"/>
    </row>
    <row r="33" spans="1:10" s="15" customFormat="1" ht="18">
      <c r="A33" s="27"/>
      <c r="B33" s="57" t="s">
        <v>78</v>
      </c>
      <c r="C33" s="58"/>
      <c r="D33" s="68"/>
      <c r="E33" s="66"/>
      <c r="F33" s="70">
        <f>ROUND(Calculations!D18/Interface!F29,2)</f>
        <v>1.3</v>
      </c>
      <c r="G33" s="64" t="s">
        <v>64</v>
      </c>
      <c r="H33" s="27"/>
      <c r="I33" s="27"/>
      <c r="J33" s="27"/>
    </row>
    <row r="34" spans="1:10" s="15" customFormat="1" ht="18">
      <c r="A34" s="27"/>
      <c r="B34" s="59" t="s">
        <v>79</v>
      </c>
      <c r="C34" s="60"/>
      <c r="D34" s="69"/>
      <c r="E34" s="67"/>
      <c r="F34" s="82">
        <f>Calculations!D6-Calculations!D4*F30+Calculations!D7*F30</f>
        <v>9169.1585117501454</v>
      </c>
      <c r="G34" s="65" t="s">
        <v>50</v>
      </c>
      <c r="H34" s="27"/>
      <c r="I34" s="27"/>
      <c r="J34" s="27"/>
    </row>
    <row r="35" spans="1:10">
      <c r="B35" s="61" t="s">
        <v>80</v>
      </c>
      <c r="C35" s="34"/>
      <c r="D35" s="34"/>
      <c r="E35" s="29"/>
      <c r="F35" s="28"/>
      <c r="G35" s="29"/>
      <c r="H35" s="29"/>
      <c r="I35" s="29"/>
    </row>
    <row r="36" spans="1:10">
      <c r="B36" s="61"/>
      <c r="C36" s="34"/>
      <c r="D36" s="34"/>
      <c r="E36" s="29"/>
      <c r="F36" s="28"/>
      <c r="G36" s="29"/>
      <c r="H36" s="29"/>
      <c r="I36" s="29"/>
    </row>
    <row r="37" spans="1:10">
      <c r="B37" s="61"/>
      <c r="C37" s="34"/>
      <c r="D37" s="34"/>
      <c r="E37" s="29"/>
      <c r="F37" s="28"/>
      <c r="G37" s="29"/>
      <c r="H37" s="29"/>
      <c r="I37" s="29"/>
    </row>
    <row r="38" spans="1:10" ht="56" customHeight="1">
      <c r="B38" s="98" t="s">
        <v>83</v>
      </c>
      <c r="C38" s="98"/>
      <c r="D38" s="98"/>
      <c r="E38" s="95"/>
      <c r="F38" s="95"/>
      <c r="G38" s="96"/>
      <c r="H38" s="29"/>
      <c r="I38" s="29"/>
    </row>
    <row r="39" spans="1:10">
      <c r="B39" s="97"/>
      <c r="C39" s="94"/>
      <c r="D39" s="91"/>
      <c r="E39" s="92"/>
      <c r="F39" s="92"/>
      <c r="G39" s="93"/>
      <c r="H39" s="29"/>
      <c r="I39" s="29"/>
    </row>
    <row r="40" spans="1:10" hidden="1"/>
    <row r="41" spans="1:10" hidden="1"/>
    <row r="42" spans="1:10" hidden="1"/>
    <row r="43" spans="1:10" hidden="1"/>
    <row r="44" spans="1:10" hidden="1"/>
    <row r="45" spans="1:10" hidden="1"/>
    <row r="46" spans="1:10" hidden="1"/>
    <row r="47" spans="1:10" hidden="1"/>
  </sheetData>
  <sheetProtection sheet="1" objects="1" scenarios="1" selectLockedCells="1"/>
  <mergeCells count="7">
    <mergeCell ref="B38:D38"/>
    <mergeCell ref="B17:G17"/>
    <mergeCell ref="B4:G4"/>
    <mergeCell ref="B5:G5"/>
    <mergeCell ref="B6:G6"/>
    <mergeCell ref="F13:G13"/>
    <mergeCell ref="B11:G11"/>
  </mergeCells>
  <pageMargins left="0.75" right="0.75" top="1" bottom="1" header="0.5" footer="0.5"/>
  <pageSetup orientation="portrait" horizontalDpi="4294967292" verticalDpi="4294967292"/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Units!$B$8:$B$9</xm:f>
          </x14:formula1>
          <xm:sqref>C15</xm:sqref>
        </x14:dataValidation>
        <x14:dataValidation type="list" allowBlank="1" showInputMessage="1" showErrorMessage="1">
          <x14:formula1>
            <xm:f>Units!$B$12:$B$16</xm:f>
          </x14:formula1>
          <xm:sqref>C24 C21:C22 C27:C28</xm:sqref>
        </x14:dataValidation>
        <x14:dataValidation type="list" allowBlank="1" showInputMessage="1" showErrorMessage="1">
          <x14:formula1>
            <xm:f>Units!$B$19:$B$22</xm:f>
          </x14:formula1>
          <xm:sqref>C23</xm:sqref>
        </x14:dataValidation>
        <x14:dataValidation type="list" allowBlank="1" showInputMessage="1" showErrorMessage="1">
          <x14:formula1>
            <xm:f>Units!$B$24:$B$25</xm:f>
          </x14:formula1>
          <xm:sqref>B16</xm:sqref>
        </x14:dataValidation>
        <x14:dataValidation type="list" showInputMessage="1" showErrorMessage="1">
          <x14:formula1>
            <xm:f>Units!B3:B5</xm:f>
          </x14:formula1>
          <xm:sqref>C14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C4" sqref="C4"/>
    </sheetView>
  </sheetViews>
  <sheetFormatPr baseColWidth="10" defaultRowHeight="15" x14ac:dyDescent="0"/>
  <sheetData>
    <row r="1" spans="1:3">
      <c r="A1" t="s">
        <v>15</v>
      </c>
      <c r="B1" t="s">
        <v>20</v>
      </c>
      <c r="C1">
        <v>1000</v>
      </c>
    </row>
    <row r="2" spans="1:3">
      <c r="A2" t="s">
        <v>16</v>
      </c>
      <c r="B2" t="s">
        <v>17</v>
      </c>
      <c r="C2">
        <f>8.94*10^-4</f>
        <v>8.9400000000000005E-4</v>
      </c>
    </row>
    <row r="3" spans="1:3">
      <c r="A3" t="s">
        <v>18</v>
      </c>
      <c r="B3" t="s">
        <v>19</v>
      </c>
      <c r="C3">
        <v>9.81</v>
      </c>
    </row>
    <row r="4" spans="1:3">
      <c r="A4" t="s">
        <v>21</v>
      </c>
      <c r="B4" t="s">
        <v>22</v>
      </c>
      <c r="C4">
        <f>101*10^3</f>
        <v>101000</v>
      </c>
    </row>
    <row r="5" spans="1:3">
      <c r="A5" t="s">
        <v>23</v>
      </c>
      <c r="C5">
        <v>1</v>
      </c>
    </row>
    <row r="6" spans="1:3">
      <c r="A6" t="s">
        <v>24</v>
      </c>
      <c r="C6">
        <v>2</v>
      </c>
    </row>
    <row r="7" spans="1:3">
      <c r="A7" t="s">
        <v>25</v>
      </c>
      <c r="C7">
        <v>1.04</v>
      </c>
    </row>
    <row r="8" spans="1:3">
      <c r="A8" t="s">
        <v>26</v>
      </c>
      <c r="C8">
        <v>0</v>
      </c>
    </row>
    <row r="9" spans="1:3">
      <c r="A9" t="s">
        <v>27</v>
      </c>
      <c r="C9">
        <v>0.8</v>
      </c>
    </row>
    <row r="10" spans="1:3">
      <c r="A10" t="s">
        <v>28</v>
      </c>
      <c r="C10">
        <v>0</v>
      </c>
    </row>
  </sheetData>
  <sheetProtection sheet="1" objects="1" scenarios="1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workbookViewId="0">
      <selection activeCell="D6" sqref="D6"/>
    </sheetView>
  </sheetViews>
  <sheetFormatPr baseColWidth="10" defaultRowHeight="15" x14ac:dyDescent="0"/>
  <cols>
    <col min="2" max="2" width="25.5" customWidth="1"/>
  </cols>
  <sheetData>
    <row r="1" spans="2:4" s="1" customFormat="1">
      <c r="B1" s="4" t="s">
        <v>3</v>
      </c>
      <c r="C1" s="4" t="s">
        <v>0</v>
      </c>
      <c r="D1" s="22">
        <f>IF(Interface!F16-Calculations!D2/30&gt;0,Interface!F16-Calculations!D2/30,0)</f>
        <v>20000</v>
      </c>
    </row>
    <row r="2" spans="2:4" s="1" customFormat="1" ht="35" customHeight="1">
      <c r="B2" s="23" t="s">
        <v>13</v>
      </c>
      <c r="C2" s="4" t="s">
        <v>14</v>
      </c>
      <c r="D2" s="22">
        <f>IF(Interface!F15&gt;75,IF(0.8*Interface!F15-25&gt;0,0.8*Interface!F15-25,0),IF(0.6*Interface!F15-10&gt;0,0.6*Interface!F15-10,0))</f>
        <v>0</v>
      </c>
    </row>
    <row r="3" spans="2:4" s="1" customFormat="1">
      <c r="B3" s="4" t="s">
        <v>43</v>
      </c>
      <c r="C3" s="4" t="s">
        <v>5</v>
      </c>
      <c r="D3" s="22">
        <f>Calculations!D5/Interface!F30</f>
        <v>10000</v>
      </c>
    </row>
    <row r="4" spans="2:4" s="1" customFormat="1">
      <c r="B4" s="4" t="s">
        <v>11</v>
      </c>
      <c r="C4" s="4" t="s">
        <v>12</v>
      </c>
      <c r="D4" s="22">
        <f>(D3)/1000</f>
        <v>10</v>
      </c>
    </row>
    <row r="5" spans="2:4" s="1" customFormat="1">
      <c r="B5" s="4" t="s">
        <v>4</v>
      </c>
      <c r="C5" s="4" t="s">
        <v>6</v>
      </c>
      <c r="D5" s="22">
        <f>IF(Interface!C16="L/day",Interface!F16,Calculations!D1*Interface!F14)</f>
        <v>20000</v>
      </c>
    </row>
    <row r="6" spans="2:4" s="1" customFormat="1">
      <c r="B6" s="4" t="s">
        <v>46</v>
      </c>
      <c r="C6" s="4" t="s">
        <v>47</v>
      </c>
      <c r="D6" s="22">
        <f>PI()*(Interface!F22/2)^2*Interface!F24</f>
        <v>8835.7293382212938</v>
      </c>
    </row>
    <row r="7" spans="2:4" s="1" customFormat="1">
      <c r="B7" s="4" t="s">
        <v>49</v>
      </c>
      <c r="C7" s="4" t="s">
        <v>50</v>
      </c>
      <c r="D7" s="22">
        <f>PI()*(Interface!F22/2)^2*Interface!F23</f>
        <v>176.71458676442586</v>
      </c>
    </row>
    <row r="8" spans="2:4" s="1" customFormat="1">
      <c r="B8" s="4" t="s">
        <v>31</v>
      </c>
      <c r="C8" s="4" t="s">
        <v>33</v>
      </c>
      <c r="D8" s="22">
        <f>PI()*(Interface!F28/2)^2</f>
        <v>19634954.084936205</v>
      </c>
    </row>
    <row r="9" spans="2:4" s="1" customFormat="1">
      <c r="B9" s="4" t="s">
        <v>34</v>
      </c>
      <c r="C9" s="4" t="s">
        <v>35</v>
      </c>
      <c r="D9" s="22">
        <f>(Calculations!D4/D8)/3600</f>
        <v>1.4147106052612918E-10</v>
      </c>
    </row>
    <row r="10" spans="2:4">
      <c r="B10" s="4"/>
      <c r="C10" s="4"/>
      <c r="D10" s="4"/>
    </row>
    <row r="11" spans="2:4" s="1" customFormat="1">
      <c r="B11" s="4" t="s">
        <v>36</v>
      </c>
      <c r="C11" s="4"/>
      <c r="D11" s="22">
        <f>(Constants!C1*Calculations!D9*Interface!F28)/Constants!C2</f>
        <v>0.79122517072779186</v>
      </c>
    </row>
    <row r="12" spans="2:4" s="1" customFormat="1">
      <c r="B12" s="4" t="s">
        <v>37</v>
      </c>
      <c r="C12" s="4"/>
      <c r="D12" s="22">
        <f>IF(D11&lt;=2300,64/D11,0.316*(D11^(-0.25)))</f>
        <v>80.887214370507124</v>
      </c>
    </row>
    <row r="13" spans="2:4">
      <c r="B13" s="4" t="s">
        <v>39</v>
      </c>
      <c r="C13" s="4"/>
      <c r="D13" s="22">
        <f>IF(D11&lt;=2300,2,1.08)</f>
        <v>2</v>
      </c>
    </row>
    <row r="14" spans="2:4" s="1" customFormat="1">
      <c r="B14" s="4" t="s">
        <v>38</v>
      </c>
      <c r="C14" s="4" t="s">
        <v>29</v>
      </c>
      <c r="D14" s="22">
        <f>(Calculations!F21/(Interface!F28*2*Constants!C3))*Calculations!D12*Calculations!D9^2</f>
        <v>1.4852125135895425E-21</v>
      </c>
    </row>
    <row r="15" spans="2:4">
      <c r="B15" s="4"/>
      <c r="C15" s="4"/>
      <c r="D15" s="22"/>
    </row>
    <row r="16" spans="2:4" s="1" customFormat="1">
      <c r="B16" s="4" t="s">
        <v>41</v>
      </c>
      <c r="C16" s="4" t="s">
        <v>29</v>
      </c>
      <c r="D16" s="22">
        <f>D14+Interface!F21+Interface!F24</f>
        <v>70</v>
      </c>
    </row>
    <row r="17" spans="2:7">
      <c r="B17" s="4"/>
      <c r="C17" s="4"/>
      <c r="D17" s="4"/>
    </row>
    <row r="18" spans="2:7" s="1" customFormat="1">
      <c r="B18" s="4" t="s">
        <v>42</v>
      </c>
      <c r="C18" s="4"/>
      <c r="D18" s="22">
        <f>Calculations!D16*(Calculations!D3/227.124707)*1/3960</f>
        <v>0.77828466617538339</v>
      </c>
    </row>
    <row r="19" spans="2:7">
      <c r="B19" s="4"/>
      <c r="C19" s="4"/>
      <c r="D19" s="4"/>
    </row>
    <row r="20" spans="2:7">
      <c r="B20" s="4"/>
      <c r="C20" s="4"/>
      <c r="D20" s="4"/>
    </row>
    <row r="21" spans="2:7" s="1" customFormat="1">
      <c r="B21" s="4" t="s">
        <v>40</v>
      </c>
      <c r="C21" s="4" t="s">
        <v>29</v>
      </c>
      <c r="D21" s="22">
        <f>Interface!D27+Interface!D24+Interface!D21</f>
        <v>90</v>
      </c>
      <c r="E21" s="3"/>
      <c r="F21" s="5">
        <f>Interface!F27+Interface!F24+Interface!F21</f>
        <v>90</v>
      </c>
      <c r="G21" s="6" t="s">
        <v>29</v>
      </c>
    </row>
  </sheetData>
  <sheetProtection sheet="1" objects="1" scenarios="1"/>
  <pageMargins left="0.75" right="0.75" top="1" bottom="1" header="0.5" footer="0.5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Units!$B$12:$B$16</xm:f>
          </x14:formula1>
          <xm:sqref>C21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5"/>
  <sheetViews>
    <sheetView topLeftCell="A12" workbookViewId="0">
      <selection activeCell="B25" sqref="B25"/>
    </sheetView>
  </sheetViews>
  <sheetFormatPr baseColWidth="10" defaultRowHeight="15" x14ac:dyDescent="0"/>
  <cols>
    <col min="2" max="2" width="21.1640625" customWidth="1"/>
  </cols>
  <sheetData>
    <row r="1" spans="2:3">
      <c r="C1" t="s">
        <v>57</v>
      </c>
    </row>
    <row r="2" spans="2:3">
      <c r="C2" t="s">
        <v>33</v>
      </c>
    </row>
    <row r="3" spans="2:3">
      <c r="B3" t="s">
        <v>33</v>
      </c>
      <c r="C3">
        <v>1</v>
      </c>
    </row>
    <row r="4" spans="2:3">
      <c r="B4" t="s">
        <v>55</v>
      </c>
      <c r="C4">
        <v>4046.86</v>
      </c>
    </row>
    <row r="5" spans="2:3">
      <c r="B5" t="s">
        <v>56</v>
      </c>
      <c r="C5">
        <v>1000000</v>
      </c>
    </row>
    <row r="7" spans="2:3">
      <c r="C7" t="s">
        <v>14</v>
      </c>
    </row>
    <row r="8" spans="2:3">
      <c r="B8" t="s">
        <v>14</v>
      </c>
      <c r="C8">
        <v>1</v>
      </c>
    </row>
    <row r="9" spans="2:3">
      <c r="B9" t="s">
        <v>7</v>
      </c>
      <c r="C9">
        <v>30</v>
      </c>
    </row>
    <row r="11" spans="2:3">
      <c r="C11" t="s">
        <v>29</v>
      </c>
    </row>
    <row r="12" spans="2:3">
      <c r="B12" t="s">
        <v>29</v>
      </c>
      <c r="C12">
        <v>1</v>
      </c>
    </row>
    <row r="13" spans="2:3">
      <c r="B13" t="s">
        <v>58</v>
      </c>
      <c r="C13">
        <v>100</v>
      </c>
    </row>
    <row r="14" spans="2:3">
      <c r="B14" t="s">
        <v>2</v>
      </c>
      <c r="C14">
        <v>1000</v>
      </c>
    </row>
    <row r="15" spans="2:3">
      <c r="B15" t="s">
        <v>66</v>
      </c>
      <c r="C15">
        <v>0.30480000000000002</v>
      </c>
    </row>
    <row r="16" spans="2:3">
      <c r="B16" t="s">
        <v>59</v>
      </c>
      <c r="C16">
        <v>2.5399999999999999E-2</v>
      </c>
    </row>
    <row r="18" spans="2:3">
      <c r="C18" t="s">
        <v>48</v>
      </c>
    </row>
    <row r="19" spans="2:3">
      <c r="B19" t="s">
        <v>48</v>
      </c>
      <c r="C19">
        <v>1</v>
      </c>
    </row>
    <row r="20" spans="2:3">
      <c r="B20" t="s">
        <v>65</v>
      </c>
      <c r="C20">
        <v>0.30480000000000002</v>
      </c>
    </row>
    <row r="21" spans="2:3">
      <c r="B21" t="s">
        <v>68</v>
      </c>
      <c r="C21">
        <f>1/60</f>
        <v>1.6666666666666666E-2</v>
      </c>
    </row>
    <row r="22" spans="2:3">
      <c r="B22" t="s">
        <v>69</v>
      </c>
      <c r="C22">
        <f>C20/60</f>
        <v>5.0800000000000003E-3</v>
      </c>
    </row>
    <row r="24" spans="2:3">
      <c r="B24" s="2" t="s">
        <v>77</v>
      </c>
      <c r="C24" s="2" t="s">
        <v>6</v>
      </c>
    </row>
    <row r="25" spans="2:3" ht="60">
      <c r="B25" s="24" t="s">
        <v>76</v>
      </c>
      <c r="C25" s="25" t="s">
        <v>0</v>
      </c>
    </row>
  </sheetData>
  <sheetProtection sheet="1" objects="1" scenarios="1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Interface</vt:lpstr>
      <vt:lpstr>Constants</vt:lpstr>
      <vt:lpstr>Calculations</vt:lpstr>
      <vt:lpstr>Units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Eric Verploegen</cp:lastModifiedBy>
  <dcterms:created xsi:type="dcterms:W3CDTF">2017-12-21T10:46:43Z</dcterms:created>
  <dcterms:modified xsi:type="dcterms:W3CDTF">2018-02-12T19:46:29Z</dcterms:modified>
</cp:coreProperties>
</file>